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Confronto" sheetId="1" r:id="rId1"/>
    <sheet name="sintesi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<sst xmlns="http://schemas.openxmlformats.org/spreadsheetml/2006/main" count="60" uniqueCount="32">
  <si>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D.M. 28 LUGLIO 1992, N.570</t>
  </si>
  <si>
    <t>ATTIVO REALIZZATO</t>
  </si>
  <si>
    <t>MINIMO</t>
  </si>
  <si>
    <t>MASSIMO</t>
  </si>
  <si>
    <t>FINO A 10.329,14</t>
  </si>
  <si>
    <t>DA 10.329,14 A 15.493,71</t>
  </si>
  <si>
    <t>DA 15.493,71 A 25.822,84</t>
  </si>
  <si>
    <t>DA 25.822,84 A 51.645,69</t>
  </si>
  <si>
    <t>DA 51.645,69 A 258.228,45</t>
  </si>
  <si>
    <t>DA 258.228,45 A 516.456,90</t>
  </si>
  <si>
    <t>DA 516456,90 A 1.549.370,70</t>
  </si>
  <si>
    <t>OLTRE 1.549.370,70</t>
  </si>
  <si>
    <t>PASSIVO ACCERTATO</t>
  </si>
  <si>
    <t>FINO A 51.645,69</t>
  </si>
  <si>
    <t>OLTRE 51.645,69</t>
  </si>
  <si>
    <t>TOTALE COMPENSO</t>
  </si>
  <si>
    <t>FINO A 16.227,08</t>
  </si>
  <si>
    <t>DA 16.227,08 A 24.230,62</t>
  </si>
  <si>
    <t>DA 24.230,62 A 40.567,68</t>
  </si>
  <si>
    <t>DA 40.567,68 A 81.135,38</t>
  </si>
  <si>
    <t>DA 81.135,38 A 405.676,89</t>
  </si>
  <si>
    <t>DA 405.676,89 A 811.853,79</t>
  </si>
  <si>
    <t>DA 811.853,79 A 2.434.061,37</t>
  </si>
  <si>
    <t>OLTRE 2.434.061,37</t>
  </si>
  <si>
    <t>FINO A 81.131,38</t>
  </si>
  <si>
    <t>OLTRE 81.131,38</t>
  </si>
  <si>
    <t>D.M. 25 GENNAIO 2012, N.30</t>
  </si>
  <si>
    <t xml:space="preserve">COMPENSO TOTALE </t>
  </si>
  <si>
    <t>VARIAZIONE PERCENTUALE TOTALE</t>
  </si>
  <si>
    <t>VARIAZIONE PERCENTUALE SU ATTIVO</t>
  </si>
  <si>
    <t>VARIAZIONE PERCENTUALE SU PASSIVO</t>
  </si>
  <si>
    <t>N.B. da aggiungere compenso per rimborso forfettario delle spese pari al 5% ex art. 4 comma secondo.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</si>
</sst>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0.0%"/>
    <numFmt numFmtId="169" formatCode="0.000%"/>
    <numFmt numFmtId="170" formatCode="0.0000%"/>
    <numFmt numFmtId="171" formatCode="_-* #,##0.00000_-;\-* #,##0.000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43" fontId="2" fillId="4" borderId="0" xfId="43" applyFont="1" applyFill="1" applyAlignment="1">
      <alignment/>
    </xf>
    <xf numFmtId="0" fontId="0" fillId="4" borderId="0" xfId="0" applyFont="1" applyFill="1" applyAlignment="1">
      <alignment/>
    </xf>
    <xf numFmtId="43" fontId="0" fillId="4" borderId="0" xfId="43" applyFont="1" applyFill="1" applyAlignment="1">
      <alignment/>
    </xf>
    <xf numFmtId="43" fontId="0" fillId="4" borderId="10" xfId="43" applyFont="1" applyFill="1" applyBorder="1" applyAlignment="1">
      <alignment/>
    </xf>
    <xf numFmtId="43" fontId="0" fillId="4" borderId="10" xfId="43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43" fontId="2" fillId="3" borderId="0" xfId="43" applyFont="1" applyFill="1" applyAlignment="1">
      <alignment/>
    </xf>
    <xf numFmtId="43" fontId="0" fillId="3" borderId="0" xfId="43" applyFont="1" applyFill="1" applyAlignment="1">
      <alignment/>
    </xf>
    <xf numFmtId="43" fontId="0" fillId="3" borderId="10" xfId="43" applyFont="1" applyFill="1" applyBorder="1" applyAlignment="1">
      <alignment/>
    </xf>
    <xf numFmtId="43" fontId="0" fillId="3" borderId="10" xfId="43" applyFont="1" applyFill="1" applyBorder="1" applyAlignment="1">
      <alignment/>
    </xf>
    <xf numFmtId="0" fontId="0" fillId="33" borderId="0" xfId="0" applyFill="1" applyAlignment="1">
      <alignment/>
    </xf>
    <xf numFmtId="43" fontId="0" fillId="4" borderId="0" xfId="43" applyFont="1" applyFill="1" applyAlignment="1">
      <alignment/>
    </xf>
    <xf numFmtId="43" fontId="0" fillId="34" borderId="11" xfId="43" applyFont="1" applyFill="1" applyBorder="1" applyAlignment="1">
      <alignment vertical="top" wrapText="1"/>
    </xf>
    <xf numFmtId="43" fontId="0" fillId="34" borderId="12" xfId="43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43" fontId="0" fillId="33" borderId="0" xfId="0" applyNumberFormat="1" applyFill="1" applyAlignment="1">
      <alignment/>
    </xf>
    <xf numFmtId="0" fontId="2" fillId="33" borderId="13" xfId="0" applyFont="1" applyFill="1" applyBorder="1" applyAlignment="1">
      <alignment horizontal="center"/>
    </xf>
    <xf numFmtId="43" fontId="0" fillId="33" borderId="14" xfId="0" applyNumberForma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2" fillId="35" borderId="18" xfId="43" applyFont="1" applyFill="1" applyBorder="1" applyAlignment="1">
      <alignment/>
    </xf>
    <xf numFmtId="43" fontId="0" fillId="34" borderId="14" xfId="43" applyFont="1" applyFill="1" applyBorder="1" applyAlignment="1">
      <alignment vertical="top" wrapText="1"/>
    </xf>
    <xf numFmtId="43" fontId="0" fillId="34" borderId="19" xfId="43" applyFont="1" applyFill="1" applyBorder="1" applyAlignment="1">
      <alignment vertical="top" wrapText="1"/>
    </xf>
    <xf numFmtId="10" fontId="0" fillId="33" borderId="14" xfId="0" applyNumberFormat="1" applyFill="1" applyBorder="1" applyAlignment="1">
      <alignment/>
    </xf>
    <xf numFmtId="10" fontId="0" fillId="33" borderId="15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3" fontId="2" fillId="33" borderId="22" xfId="0" applyNumberFormat="1" applyFont="1" applyFill="1" applyBorder="1" applyAlignment="1">
      <alignment/>
    </xf>
    <xf numFmtId="10" fontId="0" fillId="33" borderId="14" xfId="48" applyNumberFormat="1" applyFont="1" applyFill="1" applyBorder="1" applyAlignment="1">
      <alignment/>
    </xf>
    <xf numFmtId="10" fontId="0" fillId="33" borderId="0" xfId="48" applyNumberFormat="1" applyFont="1" applyFill="1" applyBorder="1" applyAlignment="1">
      <alignment/>
    </xf>
    <xf numFmtId="10" fontId="0" fillId="33" borderId="16" xfId="48" applyNumberFormat="1" applyFont="1" applyFill="1" applyBorder="1" applyAlignment="1">
      <alignment/>
    </xf>
    <xf numFmtId="10" fontId="0" fillId="33" borderId="10" xfId="48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/>
    </xf>
    <xf numFmtId="43" fontId="0" fillId="33" borderId="24" xfId="0" applyNumberFormat="1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33" borderId="25" xfId="0" applyNumberFormat="1" applyFill="1" applyBorder="1" applyAlignment="1">
      <alignment/>
    </xf>
    <xf numFmtId="43" fontId="0" fillId="33" borderId="26" xfId="0" applyNumberFormat="1" applyFill="1" applyBorder="1" applyAlignment="1">
      <alignment/>
    </xf>
    <xf numFmtId="43" fontId="2" fillId="33" borderId="16" xfId="0" applyNumberFormat="1" applyFont="1" applyFill="1" applyBorder="1" applyAlignment="1">
      <alignment/>
    </xf>
    <xf numFmtId="43" fontId="2" fillId="33" borderId="17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43" fontId="2" fillId="33" borderId="25" xfId="0" applyNumberFormat="1" applyFont="1" applyFill="1" applyBorder="1" applyAlignment="1">
      <alignment/>
    </xf>
    <xf numFmtId="10" fontId="0" fillId="33" borderId="15" xfId="48" applyNumberFormat="1" applyFont="1" applyFill="1" applyBorder="1" applyAlignment="1">
      <alignment/>
    </xf>
    <xf numFmtId="10" fontId="0" fillId="33" borderId="17" xfId="48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69" fontId="0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169" fontId="0" fillId="33" borderId="0" xfId="48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0">
      <selection activeCell="G43" sqref="G43"/>
    </sheetView>
  </sheetViews>
  <sheetFormatPr defaultColWidth="9.140625" defaultRowHeight="12.75"/>
  <cols>
    <col min="2" max="2" width="29.421875" style="0" customWidth="1"/>
    <col min="3" max="3" width="15.140625" style="0" hidden="1" customWidth="1"/>
    <col min="4" max="4" width="14.00390625" style="0" hidden="1" customWidth="1"/>
    <col min="5" max="5" width="14.00390625" style="0" customWidth="1"/>
    <col min="6" max="6" width="8.00390625" style="0" bestFit="1" customWidth="1"/>
    <col min="7" max="7" width="10.00390625" style="0" bestFit="1" customWidth="1"/>
    <col min="8" max="8" width="10.28125" style="0" bestFit="1" customWidth="1"/>
    <col min="9" max="9" width="11.28125" style="0" bestFit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6"/>
      <c r="B2" s="9" t="s">
        <v>0</v>
      </c>
      <c r="C2" s="9"/>
      <c r="D2" s="10"/>
      <c r="E2" s="10"/>
      <c r="F2" s="10"/>
      <c r="G2" s="10"/>
      <c r="H2" s="10"/>
      <c r="I2" s="10"/>
      <c r="J2" s="16"/>
      <c r="K2" s="16"/>
    </row>
    <row r="3" spans="1:11" ht="13.5" thickBot="1">
      <c r="A3" s="16"/>
      <c r="B3" s="10"/>
      <c r="C3" s="10"/>
      <c r="D3" s="10"/>
      <c r="E3" s="10"/>
      <c r="F3" s="10"/>
      <c r="G3" s="10"/>
      <c r="H3" s="10"/>
      <c r="I3" s="10"/>
      <c r="J3" s="16"/>
      <c r="K3" s="16"/>
    </row>
    <row r="4" spans="1:11" ht="13.5" thickBot="1">
      <c r="A4" s="16"/>
      <c r="B4" s="11" t="s">
        <v>1</v>
      </c>
      <c r="C4" s="11"/>
      <c r="D4" s="12"/>
      <c r="E4" s="27">
        <v>1549370.71</v>
      </c>
      <c r="F4" s="34" t="s">
        <v>2</v>
      </c>
      <c r="G4" s="35" t="s">
        <v>3</v>
      </c>
      <c r="H4" s="34" t="s">
        <v>2</v>
      </c>
      <c r="I4" s="22" t="s">
        <v>3</v>
      </c>
      <c r="J4" s="16"/>
      <c r="K4" s="16"/>
    </row>
    <row r="5" spans="1:11" ht="12.75">
      <c r="A5" s="16"/>
      <c r="B5" s="10" t="s">
        <v>4</v>
      </c>
      <c r="C5" s="13">
        <v>10329.14</v>
      </c>
      <c r="D5" s="13"/>
      <c r="E5" s="28">
        <f>SUM(IF(E4&lt;=C5,E4),IF(E4&gt;C5,C5))</f>
        <v>10329.14</v>
      </c>
      <c r="F5" s="30">
        <v>0.12</v>
      </c>
      <c r="G5" s="31">
        <v>0.14</v>
      </c>
      <c r="H5" s="23">
        <f>(E5*F5)</f>
        <v>1239.4968</v>
      </c>
      <c r="I5" s="43">
        <f>(E5*G5)</f>
        <v>1446.0796</v>
      </c>
      <c r="J5" s="16"/>
      <c r="K5" s="16"/>
    </row>
    <row r="6" spans="1:11" ht="12.75">
      <c r="A6" s="16"/>
      <c r="B6" s="10" t="s">
        <v>5</v>
      </c>
      <c r="C6" s="13">
        <v>15493.71</v>
      </c>
      <c r="D6" s="13">
        <f>15493.71-10329.14</f>
        <v>5164.57</v>
      </c>
      <c r="E6" s="28">
        <f>SUM(IF(E4&lt;=C6,SUM(E4-E5),IF(E4&gt;C6,D6)))</f>
        <v>5164.57</v>
      </c>
      <c r="F6" s="30">
        <v>0.1</v>
      </c>
      <c r="G6" s="31">
        <v>0.12</v>
      </c>
      <c r="H6" s="23">
        <f>(E6*F6)</f>
        <v>516.457</v>
      </c>
      <c r="I6" s="44">
        <f>(E6*G6)</f>
        <v>619.7484</v>
      </c>
      <c r="J6" s="16"/>
      <c r="K6" s="16"/>
    </row>
    <row r="7" spans="1:11" ht="12.75">
      <c r="A7" s="16"/>
      <c r="B7" s="10" t="s">
        <v>6</v>
      </c>
      <c r="C7" s="13">
        <v>25822.84</v>
      </c>
      <c r="D7" s="13">
        <f>25822.84-15493.71</f>
        <v>10329.130000000001</v>
      </c>
      <c r="E7" s="28">
        <f>SUM(IF(E4&lt;=C7,SUM(E4-E5-E6),IF(E4&gt;C7,D7)))</f>
        <v>10329.130000000001</v>
      </c>
      <c r="F7" s="30">
        <v>0.085</v>
      </c>
      <c r="G7" s="31">
        <v>0.095</v>
      </c>
      <c r="H7" s="23">
        <f>(E7*F7)</f>
        <v>877.9760500000001</v>
      </c>
      <c r="I7" s="44">
        <f>(E7*G7)</f>
        <v>981.2673500000001</v>
      </c>
      <c r="J7" s="16"/>
      <c r="K7" s="16"/>
    </row>
    <row r="8" spans="1:11" ht="12.75">
      <c r="A8" s="16"/>
      <c r="B8" s="10" t="s">
        <v>7</v>
      </c>
      <c r="C8" s="13">
        <v>51645.69</v>
      </c>
      <c r="D8" s="13">
        <f>51645.69-25822.84</f>
        <v>25822.850000000002</v>
      </c>
      <c r="E8" s="28">
        <f>SUM(IF(E4&lt;=C8,SUM(E4-E5-E6-E7),IF(E4&gt;C8,D8)))</f>
        <v>25822.850000000002</v>
      </c>
      <c r="F8" s="30">
        <v>0.07</v>
      </c>
      <c r="G8" s="31">
        <v>0.08</v>
      </c>
      <c r="H8" s="23">
        <f>(E8*F8)</f>
        <v>1807.5995000000003</v>
      </c>
      <c r="I8" s="44">
        <f>(E8*G8)</f>
        <v>2065.8280000000004</v>
      </c>
      <c r="J8" s="16"/>
      <c r="K8" s="16"/>
    </row>
    <row r="9" spans="1:11" ht="12.75">
      <c r="A9" s="16"/>
      <c r="B9" s="10" t="s">
        <v>8</v>
      </c>
      <c r="C9" s="13">
        <v>258228.45</v>
      </c>
      <c r="D9" s="13">
        <f>258228.45-51645.69</f>
        <v>206582.76</v>
      </c>
      <c r="E9" s="28">
        <f>SUM(IF(E4&lt;=C9,SUM(E4-E5-E6-E7-E8),IF(E4&gt;C9,D9)))</f>
        <v>206582.76</v>
      </c>
      <c r="F9" s="30">
        <v>0.055</v>
      </c>
      <c r="G9" s="31">
        <v>0.065</v>
      </c>
      <c r="H9" s="23">
        <f>(E9*F9)</f>
        <v>11362.051800000001</v>
      </c>
      <c r="I9" s="44">
        <f>(E9*G9)</f>
        <v>13427.879400000002</v>
      </c>
      <c r="J9" s="16"/>
      <c r="K9" s="16"/>
    </row>
    <row r="10" spans="1:11" ht="12.75">
      <c r="A10" s="16"/>
      <c r="B10" s="10" t="s">
        <v>9</v>
      </c>
      <c r="C10" s="13">
        <v>516456.9</v>
      </c>
      <c r="D10" s="13">
        <f>516456.9-258228.45</f>
        <v>258228.45</v>
      </c>
      <c r="E10" s="28">
        <f>SUM(IF(E4&lt;=C10,SUM(E4-E5-E6-E7-E8-E9),IF(E4&gt;C10,D10)))</f>
        <v>258228.45</v>
      </c>
      <c r="F10" s="30">
        <v>0.04</v>
      </c>
      <c r="G10" s="31">
        <v>0.05</v>
      </c>
      <c r="H10" s="23">
        <f>(E10*F10)</f>
        <v>10329.138</v>
      </c>
      <c r="I10" s="44">
        <f>(E10*G10)</f>
        <v>12911.4225</v>
      </c>
      <c r="J10" s="16"/>
      <c r="K10" s="16"/>
    </row>
    <row r="11" spans="1:11" ht="12.75">
      <c r="A11" s="16"/>
      <c r="B11" s="10" t="s">
        <v>10</v>
      </c>
      <c r="C11" s="13">
        <v>1549370.7</v>
      </c>
      <c r="D11" s="13">
        <f>1549370.7-516456.9</f>
        <v>1032913.7999999999</v>
      </c>
      <c r="E11" s="28">
        <f>SUM(IF(E4&lt;=C11,SUM(E4-E5-E6-E7-E8-E9-E10),IF(E4&gt;C11,D11)))</f>
        <v>1032913.7999999999</v>
      </c>
      <c r="F11" s="30">
        <v>0.018</v>
      </c>
      <c r="G11" s="31">
        <v>0.018</v>
      </c>
      <c r="H11" s="23">
        <f>(E11*F11)</f>
        <v>18592.448399999997</v>
      </c>
      <c r="I11" s="44">
        <f>(E11*G11)</f>
        <v>18592.448399999997</v>
      </c>
      <c r="J11" s="16"/>
      <c r="K11" s="16"/>
    </row>
    <row r="12" spans="1:11" ht="13.5" thickBot="1">
      <c r="A12" s="16"/>
      <c r="B12" s="10" t="s">
        <v>11</v>
      </c>
      <c r="C12" s="10"/>
      <c r="D12" s="14"/>
      <c r="E12" s="29">
        <f>SUM(IF(E4&gt;C11,SUM(E4-E5-E6-E7-E8-E9-E10-E11)))</f>
        <v>0.010000000125728548</v>
      </c>
      <c r="F12" s="32">
        <v>0</v>
      </c>
      <c r="G12" s="33">
        <v>0.009</v>
      </c>
      <c r="H12" s="23">
        <f>(E12*F12)</f>
        <v>0</v>
      </c>
      <c r="I12" s="45">
        <f>(E12*G12)</f>
        <v>9.000000113155692E-05</v>
      </c>
      <c r="J12" s="16"/>
      <c r="K12" s="16"/>
    </row>
    <row r="13" spans="1:11" ht="13.5" thickTop="1">
      <c r="A13" s="16"/>
      <c r="B13" s="10"/>
      <c r="C13" s="10"/>
      <c r="D13" s="12">
        <f>SUM(D5:D11)</f>
        <v>1539041.56</v>
      </c>
      <c r="E13" s="12"/>
      <c r="F13" s="10"/>
      <c r="G13" s="10"/>
      <c r="H13" s="42">
        <f>SUM(H5:H12)</f>
        <v>44725.16755</v>
      </c>
      <c r="I13" s="57">
        <f>SUM(I5:I12)</f>
        <v>50044.67374</v>
      </c>
      <c r="J13" s="16"/>
      <c r="K13" s="16"/>
    </row>
    <row r="14" spans="1:11" ht="13.5" thickBot="1">
      <c r="A14" s="16"/>
      <c r="B14" s="10"/>
      <c r="C14" s="10"/>
      <c r="D14" s="10"/>
      <c r="E14" s="10"/>
      <c r="F14" s="10"/>
      <c r="G14" s="10"/>
      <c r="H14" s="10"/>
      <c r="I14" s="10"/>
      <c r="J14" s="16"/>
      <c r="K14" s="16"/>
    </row>
    <row r="15" spans="1:11" ht="13.5" thickBot="1">
      <c r="A15" s="16"/>
      <c r="B15" s="11" t="s">
        <v>12</v>
      </c>
      <c r="C15" s="11"/>
      <c r="D15" s="12"/>
      <c r="E15" s="27">
        <v>1500000</v>
      </c>
      <c r="F15" s="34" t="s">
        <v>2</v>
      </c>
      <c r="G15" s="41" t="s">
        <v>3</v>
      </c>
      <c r="H15" s="41" t="s">
        <v>2</v>
      </c>
      <c r="I15" s="35" t="s">
        <v>3</v>
      </c>
      <c r="J15" s="16"/>
      <c r="K15" s="16"/>
    </row>
    <row r="16" spans="1:11" ht="12.75">
      <c r="A16" s="16"/>
      <c r="B16" s="10" t="s">
        <v>13</v>
      </c>
      <c r="C16" s="13">
        <v>51645.69</v>
      </c>
      <c r="D16" s="13"/>
      <c r="E16" s="28">
        <f>SUM(IF(E15&lt;=C16,E15),IF(E15&gt;C16,C16))</f>
        <v>51645.69</v>
      </c>
      <c r="F16" s="37">
        <v>0.0015</v>
      </c>
      <c r="G16" s="38">
        <v>0.0075</v>
      </c>
      <c r="H16" s="46">
        <f>(E16*F16)</f>
        <v>77.468535</v>
      </c>
      <c r="I16" s="43">
        <f>(E16*G16)</f>
        <v>387.342675</v>
      </c>
      <c r="J16" s="16"/>
      <c r="K16" s="16"/>
    </row>
    <row r="17" spans="1:11" ht="13.5" thickBot="1">
      <c r="A17" s="16"/>
      <c r="B17" s="10" t="s">
        <v>14</v>
      </c>
      <c r="C17" s="10"/>
      <c r="D17" s="15"/>
      <c r="E17" s="29">
        <f>SUM(IF(E15&gt;C16,SUM(E15-E16)))</f>
        <v>1448354.31</v>
      </c>
      <c r="F17" s="39">
        <v>0.0005</v>
      </c>
      <c r="G17" s="40">
        <v>0.0037</v>
      </c>
      <c r="H17" s="25">
        <f>(E17*F17)</f>
        <v>724.1771550000001</v>
      </c>
      <c r="I17" s="45">
        <f>(E17*G17)</f>
        <v>5358.910947</v>
      </c>
      <c r="J17" s="16"/>
      <c r="K17" s="16"/>
    </row>
    <row r="18" spans="1:11" ht="13.5" thickTop="1">
      <c r="A18" s="16"/>
      <c r="B18" s="10"/>
      <c r="C18" s="10"/>
      <c r="D18" s="12">
        <f>D17+D16</f>
        <v>0</v>
      </c>
      <c r="E18" s="12"/>
      <c r="F18" s="10"/>
      <c r="G18" s="10"/>
      <c r="H18" s="47">
        <f>H17+H16</f>
        <v>801.6456900000001</v>
      </c>
      <c r="I18" s="36">
        <f>I17+I16</f>
        <v>5746.253622</v>
      </c>
      <c r="J18" s="16"/>
      <c r="K18" s="16"/>
    </row>
    <row r="19" spans="1:11" ht="12.75">
      <c r="A19" s="16"/>
      <c r="B19" s="10"/>
      <c r="C19" s="10"/>
      <c r="D19" s="10"/>
      <c r="E19" s="10"/>
      <c r="F19" s="10"/>
      <c r="G19" s="10"/>
      <c r="H19" s="10"/>
      <c r="I19" s="10"/>
      <c r="J19" s="16"/>
      <c r="K19" s="16"/>
    </row>
    <row r="20" spans="1:11" ht="12.75">
      <c r="A20" s="16"/>
      <c r="B20" s="49" t="s">
        <v>15</v>
      </c>
      <c r="C20" s="50"/>
      <c r="D20" s="50"/>
      <c r="E20" s="50"/>
      <c r="F20" s="50"/>
      <c r="G20" s="50"/>
      <c r="H20" s="65" t="s">
        <v>2</v>
      </c>
      <c r="I20" s="22" t="s">
        <v>3</v>
      </c>
      <c r="J20" s="16"/>
      <c r="K20" s="16"/>
    </row>
    <row r="21" spans="1:11" ht="12.75">
      <c r="A21" s="16"/>
      <c r="B21" s="51"/>
      <c r="C21" s="52"/>
      <c r="D21" s="53"/>
      <c r="E21" s="53"/>
      <c r="F21" s="53"/>
      <c r="G21" s="53"/>
      <c r="H21" s="57">
        <f>SUM(H18+H13)</f>
        <v>45526.813239999996</v>
      </c>
      <c r="I21" s="48">
        <f>SUM(I18+I13)</f>
        <v>55790.927362</v>
      </c>
      <c r="J21" s="16"/>
      <c r="K21" s="16"/>
    </row>
    <row r="22" spans="1:1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1" t="s">
        <v>26</v>
      </c>
      <c r="C23" s="1"/>
      <c r="D23" s="2"/>
      <c r="E23" s="2"/>
      <c r="F23" s="2"/>
      <c r="G23" s="2"/>
      <c r="H23" s="2"/>
      <c r="I23" s="2"/>
      <c r="J23" s="16"/>
      <c r="K23" s="16"/>
    </row>
    <row r="24" spans="1:11" ht="13.5" thickBot="1">
      <c r="A24" s="16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1" ht="13.5" thickBot="1">
      <c r="A25" s="16"/>
      <c r="B25" s="3" t="s">
        <v>1</v>
      </c>
      <c r="C25" s="3"/>
      <c r="D25" s="4"/>
      <c r="E25" s="27">
        <v>2434061.38</v>
      </c>
      <c r="F25" s="34" t="s">
        <v>2</v>
      </c>
      <c r="G25" s="41" t="s">
        <v>3</v>
      </c>
      <c r="H25" s="34" t="s">
        <v>2</v>
      </c>
      <c r="I25" s="56" t="s">
        <v>3</v>
      </c>
      <c r="J25" s="16"/>
      <c r="K25" s="16"/>
    </row>
    <row r="26" spans="1:11" ht="12.75">
      <c r="A26" s="16"/>
      <c r="B26" s="5" t="s">
        <v>16</v>
      </c>
      <c r="C26" s="6">
        <v>16227.08</v>
      </c>
      <c r="D26" s="6"/>
      <c r="E26" s="28">
        <f>SUM(IF(E25&lt;=C26,E25),IF(E25&gt;C26,C26))</f>
        <v>16227.08</v>
      </c>
      <c r="F26" s="30">
        <v>0.12</v>
      </c>
      <c r="G26" s="54">
        <v>0.14</v>
      </c>
      <c r="H26" s="23">
        <f>(E26*F26)</f>
        <v>1947.2495999999999</v>
      </c>
      <c r="I26" s="44">
        <f>(E26*G26)</f>
        <v>2271.7912</v>
      </c>
      <c r="J26" s="16"/>
      <c r="K26" s="16"/>
    </row>
    <row r="27" spans="1:11" ht="12.75">
      <c r="A27" s="16"/>
      <c r="B27" s="5" t="s">
        <v>17</v>
      </c>
      <c r="C27" s="17">
        <v>24230.62</v>
      </c>
      <c r="D27" s="6">
        <f>24230.62-16227.08</f>
        <v>8003.539999999999</v>
      </c>
      <c r="E27" s="28">
        <f>SUM(IF(E25&lt;=C27,SUM(E25-E26),IF(E25&gt;C27,D27)))</f>
        <v>8003.539999999999</v>
      </c>
      <c r="F27" s="30">
        <v>0.1</v>
      </c>
      <c r="G27" s="54">
        <v>0.12</v>
      </c>
      <c r="H27" s="23">
        <f>(E27*F27)</f>
        <v>800.3539999999999</v>
      </c>
      <c r="I27" s="44">
        <f>(E27*G27)</f>
        <v>960.4247999999999</v>
      </c>
      <c r="J27" s="16"/>
      <c r="K27" s="16"/>
    </row>
    <row r="28" spans="1:11" ht="12.75">
      <c r="A28" s="16"/>
      <c r="B28" s="5" t="s">
        <v>18</v>
      </c>
      <c r="C28" s="17">
        <v>40567.68</v>
      </c>
      <c r="D28" s="6">
        <f>40567.68-24230.62</f>
        <v>16337.060000000001</v>
      </c>
      <c r="E28" s="28">
        <f>SUM(IF(E25&lt;=C28,SUM(E25-E26-E27),IF(E25&gt;C28,D28)))</f>
        <v>16337.060000000001</v>
      </c>
      <c r="F28" s="30">
        <v>0.085</v>
      </c>
      <c r="G28" s="54">
        <v>0.095</v>
      </c>
      <c r="H28" s="23">
        <f>(E28*F28)</f>
        <v>1388.6501000000003</v>
      </c>
      <c r="I28" s="44">
        <f>(E28*G28)</f>
        <v>1552.0207</v>
      </c>
      <c r="J28" s="16"/>
      <c r="K28" s="16"/>
    </row>
    <row r="29" spans="1:11" ht="12.75">
      <c r="A29" s="16"/>
      <c r="B29" s="5" t="s">
        <v>19</v>
      </c>
      <c r="C29" s="17">
        <v>81135.38</v>
      </c>
      <c r="D29" s="6">
        <f>81135.38-40567.68</f>
        <v>40567.700000000004</v>
      </c>
      <c r="E29" s="28">
        <f>SUM(IF(E25&lt;=C29,SUM(E25-E26-E27-E28),IF(E25&gt;C29,D29)))</f>
        <v>40567.700000000004</v>
      </c>
      <c r="F29" s="30">
        <v>0.07</v>
      </c>
      <c r="G29" s="54">
        <v>0.08</v>
      </c>
      <c r="H29" s="23">
        <f>(E29*F29)</f>
        <v>2839.7390000000005</v>
      </c>
      <c r="I29" s="44">
        <f>(E29*G29)</f>
        <v>3245.4160000000006</v>
      </c>
      <c r="J29" s="16"/>
      <c r="K29" s="16"/>
    </row>
    <row r="30" spans="1:11" ht="12.75">
      <c r="A30" s="16"/>
      <c r="B30" s="5" t="s">
        <v>20</v>
      </c>
      <c r="C30" s="17">
        <v>405676.89</v>
      </c>
      <c r="D30" s="6">
        <f>405676.89-81135.38</f>
        <v>324541.51</v>
      </c>
      <c r="E30" s="28">
        <f>SUM(IF(E25&lt;=C30,SUM(E25-E26-E27-E28-E29),IF(E25&gt;C30,D30)))</f>
        <v>324541.51</v>
      </c>
      <c r="F30" s="30">
        <v>0.055</v>
      </c>
      <c r="G30" s="54">
        <v>0.065</v>
      </c>
      <c r="H30" s="23">
        <f>(E30*F30)</f>
        <v>17849.783050000002</v>
      </c>
      <c r="I30" s="44">
        <f>(E30*G30)</f>
        <v>21095.19815</v>
      </c>
      <c r="J30" s="16"/>
      <c r="K30" s="16"/>
    </row>
    <row r="31" spans="1:11" ht="12.75">
      <c r="A31" s="16"/>
      <c r="B31" s="5" t="s">
        <v>21</v>
      </c>
      <c r="C31" s="17">
        <v>811853.79</v>
      </c>
      <c r="D31" s="6">
        <f>811853.79-405676.89</f>
        <v>406176.9</v>
      </c>
      <c r="E31" s="28">
        <f>SUM(IF(E25&lt;=C31,SUM(E25-E26-E27-E28-E29-E30),IF(E25&gt;C31,D31)))</f>
        <v>406176.9</v>
      </c>
      <c r="F31" s="30">
        <v>0.04</v>
      </c>
      <c r="G31" s="54">
        <v>0.05</v>
      </c>
      <c r="H31" s="23">
        <f>(E31*F31)</f>
        <v>16247.076000000001</v>
      </c>
      <c r="I31" s="44">
        <f>(E31*G31)</f>
        <v>20308.845</v>
      </c>
      <c r="J31" s="16"/>
      <c r="K31" s="16"/>
    </row>
    <row r="32" spans="1:11" ht="12.75">
      <c r="A32" s="16"/>
      <c r="B32" s="5" t="s">
        <v>22</v>
      </c>
      <c r="C32" s="17">
        <v>2434061.37</v>
      </c>
      <c r="D32" s="6">
        <f>2434061.37-811853.79</f>
        <v>1622207.58</v>
      </c>
      <c r="E32" s="28">
        <f>SUM(IF(E25&lt;=C32,SUM(E25-E26-E27-E28-E29-E30-E31),IF(E25&gt;C32,D32)))</f>
        <v>1622207.58</v>
      </c>
      <c r="F32" s="30">
        <v>0.009</v>
      </c>
      <c r="G32" s="54">
        <v>0.018</v>
      </c>
      <c r="H32" s="23">
        <f>(E32*F32)</f>
        <v>14599.86822</v>
      </c>
      <c r="I32" s="44">
        <f>(E32*G32)</f>
        <v>29199.73644</v>
      </c>
      <c r="J32" s="16"/>
      <c r="K32" s="16"/>
    </row>
    <row r="33" spans="1:11" ht="13.5" thickBot="1">
      <c r="A33" s="16"/>
      <c r="B33" s="5" t="s">
        <v>23</v>
      </c>
      <c r="C33" s="17"/>
      <c r="D33" s="7"/>
      <c r="E33" s="29">
        <f>SUM(IF(E25&gt;C32,SUM(E25-E26-E27-E28-E29-E30-E31-E32)))</f>
        <v>0.009999999310821295</v>
      </c>
      <c r="F33" s="32">
        <v>0.0045</v>
      </c>
      <c r="G33" s="55">
        <v>0.009</v>
      </c>
      <c r="H33" s="25">
        <f>(E33*F33)</f>
        <v>4.499999689869582E-05</v>
      </c>
      <c r="I33" s="45">
        <f>(E33*G33)</f>
        <v>8.999999379739165E-05</v>
      </c>
      <c r="J33" s="16"/>
      <c r="K33" s="16"/>
    </row>
    <row r="34" spans="1:11" ht="13.5" thickTop="1">
      <c r="A34" s="16"/>
      <c r="B34" s="2"/>
      <c r="C34" s="2"/>
      <c r="D34" s="4">
        <f>SUM(D26:D33)</f>
        <v>2417834.29</v>
      </c>
      <c r="E34" s="4"/>
      <c r="F34" s="2"/>
      <c r="G34" s="2"/>
      <c r="H34" s="47">
        <f>SUM(H26:H33)</f>
        <v>55672.720015</v>
      </c>
      <c r="I34" s="57">
        <f>SUM(I26:I33)</f>
        <v>78633.43237999998</v>
      </c>
      <c r="J34" s="16"/>
      <c r="K34" s="16"/>
    </row>
    <row r="35" spans="1:11" ht="12.75">
      <c r="A35" s="16"/>
      <c r="B35" s="2"/>
      <c r="C35" s="2"/>
      <c r="D35" s="2"/>
      <c r="E35" s="2"/>
      <c r="F35" s="2"/>
      <c r="G35" s="2"/>
      <c r="H35" s="2"/>
      <c r="I35" s="2"/>
      <c r="J35" s="16"/>
      <c r="K35" s="16"/>
    </row>
    <row r="36" spans="1:11" ht="13.5" thickBot="1">
      <c r="A36" s="16"/>
      <c r="B36" s="2"/>
      <c r="C36" s="2"/>
      <c r="D36" s="2"/>
      <c r="E36" s="2"/>
      <c r="F36" s="2"/>
      <c r="G36" s="2"/>
      <c r="H36" s="2"/>
      <c r="I36" s="2"/>
      <c r="J36" s="16"/>
      <c r="K36" s="16"/>
    </row>
    <row r="37" spans="1:11" ht="13.5" thickBot="1">
      <c r="A37" s="16"/>
      <c r="B37" s="3" t="s">
        <v>12</v>
      </c>
      <c r="C37" s="3"/>
      <c r="D37" s="4"/>
      <c r="E37" s="27">
        <v>1500000</v>
      </c>
      <c r="F37" s="34" t="s">
        <v>2</v>
      </c>
      <c r="G37" s="35" t="s">
        <v>3</v>
      </c>
      <c r="H37" s="56" t="s">
        <v>2</v>
      </c>
      <c r="I37" s="35" t="s">
        <v>3</v>
      </c>
      <c r="J37" s="16"/>
      <c r="K37" s="16"/>
    </row>
    <row r="38" spans="1:11" ht="12.75">
      <c r="A38" s="16"/>
      <c r="B38" s="5" t="s">
        <v>24</v>
      </c>
      <c r="C38" s="6">
        <v>81131.38</v>
      </c>
      <c r="D38" s="6"/>
      <c r="E38" s="18">
        <f>SUM(IF(E37&lt;=C38,E37),IF(E37&gt;C38,C38))</f>
        <v>81131.38</v>
      </c>
      <c r="F38" s="37">
        <v>0.0019</v>
      </c>
      <c r="G38" s="58">
        <v>0.0094</v>
      </c>
      <c r="H38" s="44">
        <f>(E38*F38)</f>
        <v>154.14962200000002</v>
      </c>
      <c r="I38" s="24">
        <f>(E38*G38)</f>
        <v>762.6349720000001</v>
      </c>
      <c r="J38" s="16"/>
      <c r="K38" s="16"/>
    </row>
    <row r="39" spans="1:11" ht="13.5" thickBot="1">
      <c r="A39" s="16"/>
      <c r="B39" s="5" t="s">
        <v>25</v>
      </c>
      <c r="C39" s="5"/>
      <c r="D39" s="8"/>
      <c r="E39" s="19">
        <f>SUM(IF(E37&gt;C38,SUM(E37-E38)))</f>
        <v>1418868.62</v>
      </c>
      <c r="F39" s="39">
        <v>0.0006</v>
      </c>
      <c r="G39" s="59">
        <v>0.0046</v>
      </c>
      <c r="H39" s="45">
        <f>(E39*F39)</f>
        <v>851.321172</v>
      </c>
      <c r="I39" s="26">
        <f>(E39*G39)</f>
        <v>6526.795652000001</v>
      </c>
      <c r="J39" s="16"/>
      <c r="K39" s="16"/>
    </row>
    <row r="40" spans="1:11" ht="13.5" thickTop="1">
      <c r="A40" s="16"/>
      <c r="B40" s="2"/>
      <c r="C40" s="2"/>
      <c r="D40" s="4">
        <f>D39+D38</f>
        <v>0</v>
      </c>
      <c r="E40" s="4"/>
      <c r="F40" s="2"/>
      <c r="G40" s="2"/>
      <c r="H40" s="47">
        <f>H39+H38</f>
        <v>1005.4707940000001</v>
      </c>
      <c r="I40" s="36">
        <f>I39+I38</f>
        <v>7289.4306240000005</v>
      </c>
      <c r="J40" s="16"/>
      <c r="K40" s="16"/>
    </row>
    <row r="41" spans="1:11" ht="12.75">
      <c r="A41" s="16"/>
      <c r="B41" s="2"/>
      <c r="C41" s="2"/>
      <c r="D41" s="2"/>
      <c r="E41" s="2"/>
      <c r="F41" s="2"/>
      <c r="G41" s="2"/>
      <c r="H41" s="2"/>
      <c r="I41" s="2"/>
      <c r="J41" s="16"/>
      <c r="K41" s="16"/>
    </row>
    <row r="42" spans="1:11" ht="12.75">
      <c r="A42" s="16"/>
      <c r="B42" s="49" t="s">
        <v>15</v>
      </c>
      <c r="C42" s="50"/>
      <c r="D42" s="50"/>
      <c r="E42" s="50"/>
      <c r="F42" s="50"/>
      <c r="G42" s="50"/>
      <c r="H42" s="65" t="s">
        <v>2</v>
      </c>
      <c r="I42" s="65" t="s">
        <v>3</v>
      </c>
      <c r="J42" s="16"/>
      <c r="K42" s="16"/>
    </row>
    <row r="43" spans="1:11" ht="12.75">
      <c r="A43" s="16"/>
      <c r="B43" s="60"/>
      <c r="C43" s="53"/>
      <c r="D43" s="53"/>
      <c r="E43" s="53"/>
      <c r="F43" s="53"/>
      <c r="G43" s="53"/>
      <c r="H43" s="57">
        <f>SUM(H40+H34)</f>
        <v>56678.190809</v>
      </c>
      <c r="I43" s="57">
        <f>SUM(I40+I34)</f>
        <v>85922.86300399998</v>
      </c>
      <c r="J43" s="16"/>
      <c r="K43" s="16"/>
    </row>
    <row r="44" spans="1:1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66" t="s">
        <v>31</v>
      </c>
      <c r="C45" s="67"/>
      <c r="D45" s="67"/>
      <c r="E45" s="67"/>
      <c r="F45" s="67"/>
      <c r="G45" s="67"/>
      <c r="H45" s="67"/>
      <c r="I45" s="67"/>
      <c r="J45" s="16"/>
      <c r="K45" s="16"/>
    </row>
    <row r="46" spans="1:1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9" ht="12.75" hidden="1">
      <c r="A47" s="16"/>
      <c r="H47" s="61">
        <f>((H34/H13)-1)</f>
        <v>0.24477387262465378</v>
      </c>
      <c r="I47" s="61">
        <f>((I34/I13)-1)</f>
        <v>0.5712647621309077</v>
      </c>
    </row>
    <row r="48" spans="8:9" ht="12.75" hidden="1">
      <c r="H48" s="61">
        <f>((H40/H18)-1)</f>
        <v>0.25425834198647035</v>
      </c>
      <c r="I48" s="61">
        <f>((I40/I18)-1)</f>
        <v>0.268553583519499</v>
      </c>
    </row>
    <row r="49" spans="8:9" ht="12.75" hidden="1">
      <c r="H49" s="61">
        <f>((H43/H21)-1)</f>
        <v>0.2449408771532986</v>
      </c>
      <c r="I49" s="61">
        <f>((I43/I21)-1)</f>
        <v>0.5400866604437065</v>
      </c>
    </row>
  </sheetData>
  <sheetProtection/>
  <printOptions/>
  <pageMargins left="0.23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30" zoomScaleNormal="130" zoomScalePageLayoutView="0" workbookViewId="0" topLeftCell="A1">
      <selection activeCell="G19" sqref="G19"/>
    </sheetView>
  </sheetViews>
  <sheetFormatPr defaultColWidth="9.140625" defaultRowHeight="12.75"/>
  <cols>
    <col min="2" max="2" width="39.140625" style="0" bestFit="1" customWidth="1"/>
    <col min="3" max="3" width="2.7109375" style="0" customWidth="1"/>
    <col min="4" max="4" width="10.421875" style="0" bestFit="1" customWidth="1"/>
    <col min="5" max="5" width="3.8515625" style="0" customWidth="1"/>
    <col min="6" max="6" width="11.281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9" ht="15.75">
      <c r="A6" s="16"/>
      <c r="B6" s="9" t="s">
        <v>0</v>
      </c>
      <c r="C6" s="16"/>
      <c r="D6" s="16"/>
      <c r="E6" s="16"/>
      <c r="F6" s="16"/>
      <c r="G6" s="16"/>
      <c r="H6" s="16"/>
      <c r="I6" s="16"/>
    </row>
    <row r="7" spans="1:9" ht="12.75">
      <c r="A7" s="16"/>
      <c r="B7" s="16"/>
      <c r="C7" s="16"/>
      <c r="D7" s="20" t="s">
        <v>2</v>
      </c>
      <c r="E7" s="20"/>
      <c r="F7" s="20" t="s">
        <v>3</v>
      </c>
      <c r="G7" s="16"/>
      <c r="H7" s="16"/>
      <c r="I7" s="16"/>
    </row>
    <row r="8" spans="1:9" ht="12.75">
      <c r="A8" s="16"/>
      <c r="B8" s="62" t="s">
        <v>27</v>
      </c>
      <c r="C8" s="16"/>
      <c r="D8" s="21">
        <f>Confronto!H21</f>
        <v>45526.813239999996</v>
      </c>
      <c r="E8" s="16"/>
      <c r="F8" s="21">
        <f>Confronto!I21</f>
        <v>55790.927362</v>
      </c>
      <c r="G8" s="16"/>
      <c r="H8" s="16"/>
      <c r="I8" s="16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16"/>
      <c r="B11" s="1" t="s">
        <v>26</v>
      </c>
      <c r="C11" s="16"/>
      <c r="D11" s="16"/>
      <c r="E11" s="16"/>
      <c r="F11" s="16"/>
      <c r="G11" s="16"/>
      <c r="H11" s="16"/>
      <c r="I11" s="16"/>
    </row>
    <row r="12" spans="1:9" ht="12.75">
      <c r="A12" s="16"/>
      <c r="B12" s="16"/>
      <c r="C12" s="16"/>
      <c r="D12" s="20" t="s">
        <v>2</v>
      </c>
      <c r="E12" s="20"/>
      <c r="F12" s="20" t="s">
        <v>3</v>
      </c>
      <c r="G12" s="16"/>
      <c r="H12" s="16"/>
      <c r="I12" s="16"/>
    </row>
    <row r="13" spans="1:9" ht="12.75">
      <c r="A13" s="16"/>
      <c r="B13" s="62" t="s">
        <v>27</v>
      </c>
      <c r="C13" s="16"/>
      <c r="D13" s="21">
        <f>Confronto!H43</f>
        <v>56678.190809</v>
      </c>
      <c r="E13" s="16"/>
      <c r="F13" s="21">
        <f>Confronto!I43</f>
        <v>85922.86300399998</v>
      </c>
      <c r="G13" s="16"/>
      <c r="H13" s="16"/>
      <c r="I13" s="16"/>
    </row>
    <row r="14" spans="1:9" ht="12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2.75">
      <c r="A16" s="16"/>
      <c r="B16" s="62" t="s">
        <v>29</v>
      </c>
      <c r="C16" s="16"/>
      <c r="D16" s="63">
        <f>Confronto!H47</f>
        <v>0.24477387262465378</v>
      </c>
      <c r="E16" s="63"/>
      <c r="F16" s="63">
        <f>Confronto!I47</f>
        <v>0.5712647621309077</v>
      </c>
      <c r="G16" s="16"/>
      <c r="H16" s="16"/>
      <c r="I16" s="16"/>
    </row>
    <row r="17" spans="1:9" ht="12.75">
      <c r="A17" s="16"/>
      <c r="B17" s="62" t="s">
        <v>30</v>
      </c>
      <c r="C17" s="16"/>
      <c r="D17" s="63">
        <f>Confronto!H48</f>
        <v>0.25425834198647035</v>
      </c>
      <c r="E17" s="63"/>
      <c r="F17" s="63">
        <f>Confronto!I48</f>
        <v>0.268553583519499</v>
      </c>
      <c r="G17" s="16"/>
      <c r="H17" s="16"/>
      <c r="I17" s="16"/>
    </row>
    <row r="18" spans="1:9" ht="12.75">
      <c r="A18" s="16"/>
      <c r="B18" s="62" t="s">
        <v>28</v>
      </c>
      <c r="C18" s="16"/>
      <c r="D18" s="63">
        <f>Confronto!H49</f>
        <v>0.2449408771532986</v>
      </c>
      <c r="E18" s="64"/>
      <c r="F18" s="63">
        <f>Confronto!I49</f>
        <v>0.5400866604437065</v>
      </c>
      <c r="G18" s="16"/>
      <c r="H18" s="16"/>
      <c r="I18" s="16"/>
    </row>
    <row r="19" spans="1:9" ht="12.7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 Menegazzi</dc:creator>
  <cp:keywords/>
  <dc:description/>
  <cp:lastModifiedBy>Administrator</cp:lastModifiedBy>
  <cp:lastPrinted>2012-04-19T08:45:16Z</cp:lastPrinted>
  <dcterms:created xsi:type="dcterms:W3CDTF">2009-05-27T17:24:41Z</dcterms:created>
  <dcterms:modified xsi:type="dcterms:W3CDTF">2012-06-13T16:56:54Z</dcterms:modified>
  <cp:category/>
  <cp:version/>
  <cp:contentType/>
  <cp:contentStatus/>
</cp:coreProperties>
</file>